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yöpöytä\Tiekartta ja ideapankki\"/>
    </mc:Choice>
  </mc:AlternateContent>
  <bookViews>
    <workbookView xWindow="0" yWindow="0" windowWidth="19200" windowHeight="7248"/>
  </bookViews>
  <sheets>
    <sheet name="FUC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L26" i="1"/>
  <c r="G33" i="1" l="1"/>
  <c r="G25" i="1"/>
  <c r="O39" i="1"/>
  <c r="K39" i="1" s="1"/>
  <c r="O38" i="1"/>
  <c r="K38" i="1" s="1"/>
  <c r="O37" i="1"/>
  <c r="K37" i="1" s="1"/>
  <c r="O36" i="1"/>
  <c r="K36" i="1" s="1"/>
  <c r="O35" i="1"/>
  <c r="K35" i="1" s="1"/>
  <c r="O34" i="1"/>
  <c r="K34" i="1" s="1"/>
  <c r="O33" i="1"/>
  <c r="O32" i="1"/>
  <c r="K32" i="1" s="1"/>
  <c r="O31" i="1"/>
  <c r="O30" i="1"/>
  <c r="K30" i="1" s="1"/>
  <c r="O29" i="1"/>
  <c r="O28" i="1"/>
  <c r="K28" i="1" s="1"/>
  <c r="O27" i="1"/>
  <c r="O26" i="1"/>
  <c r="N23" i="1"/>
  <c r="M2" i="1"/>
  <c r="P6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" i="1"/>
  <c r="P5" i="1" s="1"/>
  <c r="O6" i="1"/>
  <c r="G6" i="1" s="1"/>
  <c r="K29" i="1" l="1"/>
  <c r="N33" i="1"/>
  <c r="L33" i="1"/>
  <c r="K33" i="1"/>
  <c r="N26" i="1"/>
  <c r="K26" i="1"/>
  <c r="K27" i="1"/>
  <c r="K31" i="1"/>
  <c r="K9" i="1"/>
  <c r="K13" i="1"/>
  <c r="K17" i="1"/>
  <c r="K10" i="1"/>
  <c r="K14" i="1"/>
  <c r="K18" i="1"/>
  <c r="K7" i="1"/>
  <c r="K11" i="1"/>
  <c r="K15" i="1"/>
  <c r="P15" i="1" s="1"/>
  <c r="O15" i="1" s="1"/>
  <c r="G15" i="1" s="1"/>
  <c r="K19" i="1"/>
  <c r="K8" i="1"/>
  <c r="K12" i="1"/>
  <c r="K16" i="1"/>
  <c r="P17" i="1"/>
  <c r="O17" i="1" s="1"/>
  <c r="G17" i="1" s="1"/>
  <c r="P7" i="1"/>
  <c r="P9" i="1"/>
  <c r="O9" i="1" s="1"/>
  <c r="G9" i="1" s="1"/>
  <c r="P18" i="1"/>
  <c r="O18" i="1" s="1"/>
  <c r="G18" i="1" s="1"/>
  <c r="P14" i="1"/>
  <c r="O14" i="1" s="1"/>
  <c r="G14" i="1" s="1"/>
  <c r="P10" i="1"/>
  <c r="O10" i="1" s="1"/>
  <c r="G10" i="1" s="1"/>
  <c r="P19" i="1" l="1"/>
  <c r="O19" i="1" s="1"/>
  <c r="G19" i="1" s="1"/>
  <c r="P16" i="1"/>
  <c r="O16" i="1" s="1"/>
  <c r="G16" i="1" s="1"/>
  <c r="P12" i="1"/>
  <c r="O12" i="1" s="1"/>
  <c r="G12" i="1" s="1"/>
  <c r="K20" i="1"/>
  <c r="P11" i="1"/>
  <c r="O11" i="1" s="1"/>
  <c r="G11" i="1" s="1"/>
  <c r="O7" i="1"/>
  <c r="G7" i="1" s="1"/>
  <c r="P8" i="1"/>
  <c r="O8" i="1" s="1"/>
  <c r="G8" i="1" s="1"/>
  <c r="P13" i="1"/>
  <c r="O13" i="1" s="1"/>
  <c r="G13" i="1" s="1"/>
  <c r="K24" i="1"/>
  <c r="K40" i="1"/>
  <c r="N27" i="1" s="1"/>
  <c r="B25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5" i="1"/>
  <c r="J5" i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C40" i="1"/>
  <c r="N24" i="1" s="1"/>
  <c r="M33" i="1" s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0" i="1"/>
  <c r="N31" i="1" l="1"/>
  <c r="N29" i="1"/>
  <c r="M29" i="1"/>
  <c r="L29" i="1" s="1"/>
  <c r="G29" i="1" s="1"/>
  <c r="M27" i="1"/>
  <c r="L27" i="1" s="1"/>
  <c r="M31" i="1"/>
  <c r="L31" i="1" s="1"/>
  <c r="G31" i="1" s="1"/>
  <c r="N38" i="1"/>
  <c r="M38" i="1" s="1"/>
  <c r="N34" i="1"/>
  <c r="M34" i="1" s="1"/>
  <c r="N30" i="1"/>
  <c r="M30" i="1" s="1"/>
  <c r="N37" i="1"/>
  <c r="M37" i="1" s="1"/>
  <c r="N36" i="1"/>
  <c r="M36" i="1" s="1"/>
  <c r="N32" i="1"/>
  <c r="M32" i="1" s="1"/>
  <c r="N28" i="1"/>
  <c r="M28" i="1" s="1"/>
  <c r="N39" i="1"/>
  <c r="M39" i="1" s="1"/>
  <c r="N35" i="1"/>
  <c r="M35" i="1" s="1"/>
  <c r="P20" i="1"/>
  <c r="M26" i="1"/>
  <c r="G27" i="1"/>
  <c r="F5" i="1"/>
  <c r="N5" i="1"/>
  <c r="E5" i="1"/>
  <c r="M5" i="1"/>
  <c r="M20" i="1"/>
  <c r="I16" i="1" s="1"/>
  <c r="D20" i="1"/>
  <c r="N20" i="1"/>
  <c r="H40" i="1"/>
  <c r="H24" i="1"/>
  <c r="D39" i="1" s="1"/>
  <c r="I12" i="1"/>
  <c r="L28" i="1" l="1"/>
  <c r="G28" i="1" s="1"/>
  <c r="L30" i="1"/>
  <c r="G30" i="1" s="1"/>
  <c r="L35" i="1"/>
  <c r="G35" i="1" s="1"/>
  <c r="L37" i="1"/>
  <c r="G37" i="1" s="1"/>
  <c r="L34" i="1"/>
  <c r="G34" i="1" s="1"/>
  <c r="L36" i="1"/>
  <c r="G36" i="1" s="1"/>
  <c r="L39" i="1"/>
  <c r="G39" i="1" s="1"/>
  <c r="L32" i="1"/>
  <c r="G32" i="1" s="1"/>
  <c r="G26" i="1"/>
  <c r="L38" i="1"/>
  <c r="N40" i="1"/>
  <c r="I6" i="1"/>
  <c r="E6" i="1" s="1"/>
  <c r="G20" i="1"/>
  <c r="I8" i="1"/>
  <c r="I28" i="1" s="1"/>
  <c r="I36" i="1"/>
  <c r="E16" i="1"/>
  <c r="I32" i="1"/>
  <c r="E12" i="1"/>
  <c r="D30" i="1"/>
  <c r="D31" i="1"/>
  <c r="D26" i="1"/>
  <c r="D28" i="1"/>
  <c r="D34" i="1"/>
  <c r="D29" i="1"/>
  <c r="D35" i="1"/>
  <c r="D32" i="1"/>
  <c r="D27" i="1"/>
  <c r="D37" i="1"/>
  <c r="D36" i="1"/>
  <c r="I15" i="1"/>
  <c r="I18" i="1"/>
  <c r="I14" i="1"/>
  <c r="I17" i="1"/>
  <c r="I11" i="1"/>
  <c r="I7" i="1"/>
  <c r="I10" i="1"/>
  <c r="I9" i="1"/>
  <c r="I13" i="1"/>
  <c r="J7" i="1"/>
  <c r="J8" i="1"/>
  <c r="J14" i="1"/>
  <c r="J15" i="1"/>
  <c r="D38" i="1"/>
  <c r="D33" i="1"/>
  <c r="I19" i="1"/>
  <c r="J11" i="1"/>
  <c r="J6" i="1"/>
  <c r="J9" i="1"/>
  <c r="J19" i="1"/>
  <c r="J10" i="1"/>
  <c r="J17" i="1"/>
  <c r="J13" i="1"/>
  <c r="J12" i="1"/>
  <c r="J18" i="1"/>
  <c r="J16" i="1"/>
  <c r="G38" i="1" l="1"/>
  <c r="L40" i="1"/>
  <c r="M40" i="1"/>
  <c r="I26" i="1"/>
  <c r="E8" i="1"/>
  <c r="J38" i="1"/>
  <c r="F18" i="1"/>
  <c r="J31" i="1"/>
  <c r="F11" i="1"/>
  <c r="I33" i="1"/>
  <c r="E13" i="1"/>
  <c r="I35" i="1"/>
  <c r="E15" i="1"/>
  <c r="J32" i="1"/>
  <c r="F12" i="1"/>
  <c r="I39" i="1"/>
  <c r="E19" i="1"/>
  <c r="J33" i="1"/>
  <c r="F13" i="1"/>
  <c r="J29" i="1"/>
  <c r="F9" i="1"/>
  <c r="J28" i="1"/>
  <c r="F8" i="1"/>
  <c r="I30" i="1"/>
  <c r="E10" i="1"/>
  <c r="I34" i="1"/>
  <c r="E14" i="1"/>
  <c r="J30" i="1"/>
  <c r="F10" i="1"/>
  <c r="J35" i="1"/>
  <c r="F15" i="1"/>
  <c r="I31" i="1"/>
  <c r="E11" i="1"/>
  <c r="J39" i="1"/>
  <c r="F19" i="1"/>
  <c r="J34" i="1"/>
  <c r="F14" i="1"/>
  <c r="I29" i="1"/>
  <c r="E9" i="1"/>
  <c r="I37" i="1"/>
  <c r="E17" i="1"/>
  <c r="J36" i="1"/>
  <c r="F16" i="1"/>
  <c r="J37" i="1"/>
  <c r="F17" i="1"/>
  <c r="J26" i="1"/>
  <c r="J40" i="1" s="1"/>
  <c r="F6" i="1"/>
  <c r="J27" i="1"/>
  <c r="F7" i="1"/>
  <c r="I27" i="1"/>
  <c r="E7" i="1"/>
  <c r="I38" i="1"/>
  <c r="E18" i="1"/>
  <c r="D40" i="1"/>
  <c r="I20" i="1"/>
  <c r="J20" i="1"/>
  <c r="G40" i="1" l="1"/>
  <c r="J24" i="1"/>
  <c r="F30" i="1" s="1"/>
  <c r="I24" i="1"/>
  <c r="E34" i="1" s="1"/>
  <c r="E20" i="1"/>
  <c r="I40" i="1"/>
  <c r="F20" i="1"/>
  <c r="F36" i="1" l="1"/>
  <c r="F39" i="1"/>
  <c r="F26" i="1"/>
  <c r="F28" i="1"/>
  <c r="F33" i="1"/>
  <c r="F31" i="1"/>
  <c r="F37" i="1"/>
  <c r="F35" i="1"/>
  <c r="F29" i="1"/>
  <c r="F38" i="1"/>
  <c r="F27" i="1"/>
  <c r="F32" i="1"/>
  <c r="F34" i="1"/>
  <c r="E39" i="1"/>
  <c r="E35" i="1"/>
  <c r="E32" i="1"/>
  <c r="E30" i="1"/>
  <c r="E37" i="1"/>
  <c r="E33" i="1"/>
  <c r="E28" i="1"/>
  <c r="E38" i="1"/>
  <c r="E36" i="1"/>
  <c r="E26" i="1"/>
  <c r="E27" i="1"/>
  <c r="E29" i="1"/>
  <c r="E31" i="1"/>
  <c r="F40" i="1" l="1"/>
  <c r="E40" i="1"/>
  <c r="O20" i="1" l="1"/>
</calcChain>
</file>

<file path=xl/sharedStrings.xml><?xml version="1.0" encoding="utf-8"?>
<sst xmlns="http://schemas.openxmlformats.org/spreadsheetml/2006/main" count="54" uniqueCount="32">
  <si>
    <t>StaffFTE</t>
  </si>
  <si>
    <t>Staff%</t>
  </si>
  <si>
    <t>Funet 95%</t>
  </si>
  <si>
    <t>Funet 50%</t>
  </si>
  <si>
    <t>Oracle</t>
  </si>
  <si>
    <t>Kustannus</t>
  </si>
  <si>
    <t>Hanken</t>
  </si>
  <si>
    <t>MPKK</t>
  </si>
  <si>
    <t>VY</t>
  </si>
  <si>
    <t>LY</t>
  </si>
  <si>
    <t>Uniarts</t>
  </si>
  <si>
    <t>LUT</t>
  </si>
  <si>
    <t>ÅA</t>
  </si>
  <si>
    <t>UEF</t>
  </si>
  <si>
    <t>JY</t>
  </si>
  <si>
    <t>OY</t>
  </si>
  <si>
    <t>UTU</t>
  </si>
  <si>
    <t>Aalto</t>
  </si>
  <si>
    <t>TAU</t>
  </si>
  <si>
    <t>HY</t>
  </si>
  <si>
    <t>Kustannus kun vain muutama on mukana</t>
  </si>
  <si>
    <t>FUCIO-laskelmia</t>
  </si>
  <si>
    <t>Jako-osuudet</t>
  </si>
  <si>
    <t>min</t>
  </si>
  <si>
    <t>Lineaarinen</t>
  </si>
  <si>
    <t>Minimi</t>
  </si>
  <si>
    <t>MinStaff</t>
  </si>
  <si>
    <t>osallistujia</t>
  </si>
  <si>
    <t>jako-osa</t>
  </si>
  <si>
    <t>Min%</t>
  </si>
  <si>
    <t>Min</t>
  </si>
  <si>
    <t>onko pienin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</si>
</sst>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\ %"/>
    <numFmt numFmtId="166" formatCode="_-* #,##0\ &quot;€&quot;_-;\-* #,##0\ &quot;€&quot;_-;_-* &quot;-&quot;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7">
    <xf numFmtId="0" fontId="0" fillId="0" borderId="0" xfId="0"/>
    <xf numFmtId="9" fontId="0" fillId="0" borderId="0" xfId="2" applyFont="1"/>
    <xf numFmtId="9" fontId="0" fillId="0" borderId="0" xfId="2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4" fontId="4" fillId="2" borderId="1" xfId="3" applyNumberFormat="1" applyFont="1" applyAlignment="1">
      <alignment horizontal="left"/>
    </xf>
    <xf numFmtId="9" fontId="0" fillId="0" borderId="0" xfId="2" applyFont="1" applyAlignment="1">
      <alignment horizontal="center"/>
    </xf>
    <xf numFmtId="9" fontId="2" fillId="2" borderId="1" xfId="3" applyNumberFormat="1" applyAlignment="1">
      <alignment horizontal="center"/>
    </xf>
    <xf numFmtId="9" fontId="3" fillId="0" borderId="3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3" fillId="0" borderId="4" xfId="0" applyFont="1" applyBorder="1"/>
    <xf numFmtId="164" fontId="0" fillId="0" borderId="5" xfId="0" applyNumberForma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0" fontId="3" fillId="0" borderId="12" xfId="0" applyFont="1" applyBorder="1" applyAlignment="1">
      <alignment horizontal="center"/>
    </xf>
    <xf numFmtId="164" fontId="0" fillId="0" borderId="12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0" fontId="3" fillId="0" borderId="11" xfId="0" applyFont="1" applyBorder="1"/>
    <xf numFmtId="164" fontId="0" fillId="0" borderId="12" xfId="0" applyNumberFormat="1" applyBorder="1"/>
    <xf numFmtId="9" fontId="3" fillId="0" borderId="3" xfId="2" applyFont="1" applyBorder="1" applyAlignment="1">
      <alignment horizontal="right"/>
    </xf>
    <xf numFmtId="9" fontId="3" fillId="0" borderId="6" xfId="2" applyFont="1" applyBorder="1" applyAlignment="1">
      <alignment horizontal="right"/>
    </xf>
    <xf numFmtId="9" fontId="4" fillId="2" borderId="1" xfId="3" applyNumberFormat="1" applyFont="1" applyAlignment="1">
      <alignment horizontal="center"/>
    </xf>
    <xf numFmtId="0" fontId="5" fillId="0" borderId="0" xfId="0" applyFont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9" fontId="3" fillId="0" borderId="2" xfId="2" applyFont="1" applyBorder="1" applyAlignment="1">
      <alignment horizontal="center"/>
    </xf>
    <xf numFmtId="164" fontId="0" fillId="0" borderId="4" xfId="0" applyNumberFormat="1" applyBorder="1"/>
    <xf numFmtId="164" fontId="0" fillId="0" borderId="11" xfId="0" applyNumberFormat="1" applyBorder="1"/>
    <xf numFmtId="0" fontId="0" fillId="0" borderId="0" xfId="0" applyBorder="1"/>
    <xf numFmtId="9" fontId="3" fillId="0" borderId="0" xfId="2" applyFont="1" applyBorder="1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165" fontId="0" fillId="0" borderId="5" xfId="2" applyNumberFormat="1" applyFont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right"/>
    </xf>
    <xf numFmtId="166" fontId="0" fillId="0" borderId="0" xfId="0" applyNumberFormat="1"/>
    <xf numFmtId="165" fontId="0" fillId="0" borderId="0" xfId="2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17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right"/>
    </xf>
    <xf numFmtId="165" fontId="0" fillId="0" borderId="17" xfId="2" applyNumberFormat="1" applyFont="1" applyBorder="1" applyAlignment="1">
      <alignment horizontal="right"/>
    </xf>
    <xf numFmtId="165" fontId="0" fillId="0" borderId="18" xfId="0" applyNumberFormat="1" applyBorder="1"/>
  </cellXfs>
  <cellStyles count="4"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FUCIO!$M$2</c:f>
          <c:strCache>
            <c:ptCount val="1"/>
            <c:pt idx="0">
              <c:v>Summa: 40 000€ min:2 000€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FUCIO!$D$5</c:f>
              <c:strCache>
                <c:ptCount val="1"/>
                <c:pt idx="0">
                  <c:v>Staff%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FUCIO!$B$6:$C$19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FUCIO!$D$6:$D$19</c:f>
              <c:numCache>
                <c:formatCode>_-* #\ ##0\ "€"_-;\-* #\ ##0\ "€"_-;_-* "-"??\ "€"_-;_-@_-</c:formatCode>
                <c:ptCount val="14"/>
                <c:pt idx="0">
                  <c:v>335.89719909758952</c:v>
                </c:pt>
                <c:pt idx="1">
                  <c:v>422.18029737324684</c:v>
                </c:pt>
                <c:pt idx="2">
                  <c:v>569.81147011095413</c:v>
                </c:pt>
                <c:pt idx="3">
                  <c:v>784.85955908545191</c:v>
                </c:pt>
                <c:pt idx="4">
                  <c:v>973.25751678826327</c:v>
                </c:pt>
                <c:pt idx="5">
                  <c:v>1139.4910088789793</c:v>
                </c:pt>
                <c:pt idx="6">
                  <c:v>1467.4723274008202</c:v>
                </c:pt>
                <c:pt idx="7">
                  <c:v>3209.3618480942509</c:v>
                </c:pt>
                <c:pt idx="8">
                  <c:v>3236.4077733947242</c:v>
                </c:pt>
                <c:pt idx="9">
                  <c:v>3356.9930208319583</c:v>
                </c:pt>
                <c:pt idx="10">
                  <c:v>4190.0075200865458</c:v>
                </c:pt>
                <c:pt idx="11">
                  <c:v>5208.1216934707163</c:v>
                </c:pt>
                <c:pt idx="12">
                  <c:v>5600.617438684907</c:v>
                </c:pt>
                <c:pt idx="13">
                  <c:v>9505.5213267015806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FUCIO!$E$5</c:f>
              <c:strCache>
                <c:ptCount val="1"/>
                <c:pt idx="0">
                  <c:v>Funet^95%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FUCIO!$B$6:$C$19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FUCIO!$E$6:$E$19</c:f>
              <c:numCache>
                <c:formatCode>_-* #\ ##0\ "€"_-;\-* #\ ##0\ "€"_-;_-* "-"??\ "€"_-;_-@_-</c:formatCode>
                <c:ptCount val="14"/>
                <c:pt idx="0">
                  <c:v>380.51716831531087</c:v>
                </c:pt>
                <c:pt idx="1">
                  <c:v>472.82589822860751</c:v>
                </c:pt>
                <c:pt idx="2">
                  <c:v>628.67012202802175</c:v>
                </c:pt>
                <c:pt idx="3">
                  <c:v>852.17844966268058</c:v>
                </c:pt>
                <c:pt idx="4">
                  <c:v>1045.4290673243711</c:v>
                </c:pt>
                <c:pt idx="5">
                  <c:v>1214.3770483063811</c:v>
                </c:pt>
                <c:pt idx="6">
                  <c:v>1544.2571371801153</c:v>
                </c:pt>
                <c:pt idx="7">
                  <c:v>3247.7002903973817</c:v>
                </c:pt>
                <c:pt idx="8">
                  <c:v>3273.6953890583254</c:v>
                </c:pt>
                <c:pt idx="9">
                  <c:v>3389.4646535675506</c:v>
                </c:pt>
                <c:pt idx="10">
                  <c:v>4183.9092419454391</c:v>
                </c:pt>
                <c:pt idx="11">
                  <c:v>5144.2878320354412</c:v>
                </c:pt>
                <c:pt idx="12">
                  <c:v>5511.9123874325951</c:v>
                </c:pt>
                <c:pt idx="13">
                  <c:v>9110.7753145177812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FUCIO!$F$5</c:f>
              <c:strCache>
                <c:ptCount val="1"/>
                <c:pt idx="0">
                  <c:v>Funet^50%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FUCIO!$B$6:$C$19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FUCIO!$F$6:$F$19</c:f>
              <c:numCache>
                <c:formatCode>_-* #\ ##0\ "€"_-;\-* #\ ##0\ "€"_-;_-* "-"??\ "€"_-;_-@_-</c:formatCode>
                <c:ptCount val="14"/>
                <c:pt idx="0">
                  <c:v>1146.5878848992625</c:v>
                </c:pt>
                <c:pt idx="1">
                  <c:v>1278.1176983120927</c:v>
                </c:pt>
                <c:pt idx="2">
                  <c:v>1473.7765123132201</c:v>
                </c:pt>
                <c:pt idx="3">
                  <c:v>1715.8743974208589</c:v>
                </c:pt>
                <c:pt idx="4">
                  <c:v>1900.4983902188758</c:v>
                </c:pt>
                <c:pt idx="5">
                  <c:v>2048.3161807738416</c:v>
                </c:pt>
                <c:pt idx="6">
                  <c:v>2309.8300609810171</c:v>
                </c:pt>
                <c:pt idx="7">
                  <c:v>3349.7175804208355</c:v>
                </c:pt>
                <c:pt idx="8">
                  <c:v>3363.0966921215477</c:v>
                </c:pt>
                <c:pt idx="9">
                  <c:v>3422.0454643518233</c:v>
                </c:pt>
                <c:pt idx="10">
                  <c:v>3801.993307808611</c:v>
                </c:pt>
                <c:pt idx="11">
                  <c:v>4215.8276760861381</c:v>
                </c:pt>
                <c:pt idx="12">
                  <c:v>4363.8656687865023</c:v>
                </c:pt>
                <c:pt idx="13">
                  <c:v>5610.4524855053705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FUCIO!$G$5</c:f>
              <c:strCache>
                <c:ptCount val="1"/>
                <c:pt idx="0">
                  <c:v>Minimi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FUCIO!$B$6:$C$19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FUCIO!$G$6:$G$19</c:f>
              <c:numCache>
                <c:formatCode>_-* #\ ##0\ "€"_-;\-* #\ ##0\ "€"_-;_-* "-"??\ "€"_-;_-@_-</c:formatCode>
                <c:ptCount val="14"/>
                <c:pt idx="0">
                  <c:v>2000</c:v>
                </c:pt>
                <c:pt idx="1">
                  <c:v>2127.7266649370349</c:v>
                </c:pt>
                <c:pt idx="2">
                  <c:v>2172.3910830822042</c:v>
                </c:pt>
                <c:pt idx="3">
                  <c:v>2237.4518530345063</c:v>
                </c:pt>
                <c:pt idx="4">
                  <c:v>2294.449877262658</c:v>
                </c:pt>
                <c:pt idx="5">
                  <c:v>2344.7422515816152</c:v>
                </c:pt>
                <c:pt idx="6">
                  <c:v>2443.9699044045742</c:v>
                </c:pt>
                <c:pt idx="7">
                  <c:v>2970.9621410182208</c:v>
                </c:pt>
                <c:pt idx="8">
                  <c:v>2979.1446304907495</c:v>
                </c:pt>
                <c:pt idx="9">
                  <c:v>3015.6265591633901</c:v>
                </c:pt>
                <c:pt idx="10">
                  <c:v>3267.6472349172773</c:v>
                </c:pt>
                <c:pt idx="11">
                  <c:v>3575.6680703294946</c:v>
                </c:pt>
                <c:pt idx="12">
                  <c:v>3694.4139541381446</c:v>
                </c:pt>
                <c:pt idx="13">
                  <c:v>4875.8057756401304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831072"/>
        <c:axId val="313831464"/>
      </c:lineChart>
      <c:catAx>
        <c:axId val="31383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3831464"/>
        <c:crosses val="autoZero"/>
        <c:auto val="1"/>
        <c:lblAlgn val="ctr"/>
        <c:lblOffset val="100"/>
        <c:noMultiLvlLbl val="0"/>
      </c:catAx>
      <c:valAx>
        <c:axId val="31383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383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2643824927287"/>
          <c:y val="0.91165186798458708"/>
          <c:w val="0.48978850725758877"/>
          <c:h val="5.65330589957662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FUCIO!$B$25</c:f>
          <c:strCache>
            <c:ptCount val="1"/>
            <c:pt idx="0">
              <c:v>case: Oracle</c:v>
            </c:pt>
          </c:strCache>
        </c:strRef>
      </c:tx>
      <c:layout>
        <c:manualLayout>
          <c:xMode val="edge"/>
          <c:yMode val="edge"/>
          <c:x val="0.46111257714407322"/>
          <c:y val="5.2356020942408377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FUCIO!$D$25</c:f>
              <c:strCache>
                <c:ptCount val="1"/>
                <c:pt idx="0">
                  <c:v>Staff%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FUCIO!$B$26:$B$39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FUCIO!$D$26:$D$39</c:f>
              <c:numCache>
                <c:formatCode>_-* #\ ##0\ "€"_-;\-* #\ ##0\ "€"_-;_-* "-"??\ "€"_-;_-@_-</c:formatCode>
                <c:ptCount val="14"/>
                <c:pt idx="0">
                  <c:v>424.31918936035464</c:v>
                </c:pt>
                <c:pt idx="1">
                  <c:v>0</c:v>
                </c:pt>
                <c:pt idx="2">
                  <c:v>719.80933968867703</c:v>
                </c:pt>
                <c:pt idx="3">
                  <c:v>991.46695110163012</c:v>
                </c:pt>
                <c:pt idx="4">
                  <c:v>1229.4590180327325</c:v>
                </c:pt>
                <c:pt idx="5">
                  <c:v>1439.4520182660578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4240.6919769341021</c:v>
                </c:pt>
                <c:pt idx="10">
                  <c:v>5292.9902336588784</c:v>
                </c:pt>
                <c:pt idx="11">
                  <c:v>6579.1140295323485</c:v>
                </c:pt>
                <c:pt idx="12">
                  <c:v>7074.9308356388119</c:v>
                </c:pt>
                <c:pt idx="13">
                  <c:v>12007.766407786406</c:v>
                </c:pt>
              </c:numCache>
            </c:numRef>
          </c:val>
        </c:ser>
        <c:ser>
          <c:idx val="1"/>
          <c:order val="1"/>
          <c:tx>
            <c:strRef>
              <c:f>FUCIO!$E$25</c:f>
              <c:strCache>
                <c:ptCount val="1"/>
                <c:pt idx="0">
                  <c:v>Funet 95%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FUCIO!$B$26:$B$39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FUCIO!$E$26:$E$39</c:f>
              <c:numCache>
                <c:formatCode>_-* #\ ##0\ "€"_-;\-* #\ ##0\ "€"_-;_-* "-"??\ "€"_-;_-@_-</c:formatCode>
                <c:ptCount val="14"/>
                <c:pt idx="0">
                  <c:v>483.78737298388864</c:v>
                </c:pt>
                <c:pt idx="1">
                  <c:v>0</c:v>
                </c:pt>
                <c:pt idx="2">
                  <c:v>799.28763308091607</c:v>
                </c:pt>
                <c:pt idx="3">
                  <c:v>1083.4548551411644</c:v>
                </c:pt>
                <c:pt idx="4">
                  <c:v>1329.1525960866979</c:v>
                </c:pt>
                <c:pt idx="5">
                  <c:v>1543.9521023799066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4309.3461665109626</c:v>
                </c:pt>
                <c:pt idx="10">
                  <c:v>5319.3985173529227</c:v>
                </c:pt>
                <c:pt idx="11">
                  <c:v>6540.4184183120615</c:v>
                </c:pt>
                <c:pt idx="12">
                  <c:v>7007.8141962407572</c:v>
                </c:pt>
                <c:pt idx="13">
                  <c:v>11583.388141910724</c:v>
                </c:pt>
              </c:numCache>
            </c:numRef>
          </c:val>
        </c:ser>
        <c:ser>
          <c:idx val="2"/>
          <c:order val="2"/>
          <c:tx>
            <c:strRef>
              <c:f>FUCIO!$F$25</c:f>
              <c:strCache>
                <c:ptCount val="1"/>
                <c:pt idx="0">
                  <c:v>Funet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FUCIO!$B$26:$B$39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FUCIO!$F$26:$F$39</c:f>
              <c:numCache>
                <c:formatCode>_-* #\ ##0\ "€"_-;\-* #\ ##0\ "€"_-;_-* "-"??\ "€"_-;_-@_-</c:formatCode>
                <c:ptCount val="14"/>
                <c:pt idx="0">
                  <c:v>1544.2657298188244</c:v>
                </c:pt>
                <c:pt idx="1">
                  <c:v>0</c:v>
                </c:pt>
                <c:pt idx="2">
                  <c:v>1984.9351204135339</c:v>
                </c:pt>
                <c:pt idx="3">
                  <c:v>2311.0012442206844</c:v>
                </c:pt>
                <c:pt idx="4">
                  <c:v>2559.6594663554351</c:v>
                </c:pt>
                <c:pt idx="5">
                  <c:v>2758.7457738403832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4608.9336945547429</c:v>
                </c:pt>
                <c:pt idx="10">
                  <c:v>5120.6610915526935</c:v>
                </c:pt>
                <c:pt idx="11">
                  <c:v>5678.0280768216471</c:v>
                </c:pt>
                <c:pt idx="12">
                  <c:v>5877.410960462028</c:v>
                </c:pt>
                <c:pt idx="13">
                  <c:v>7556.3588419600283</c:v>
                </c:pt>
              </c:numCache>
            </c:numRef>
          </c:val>
        </c:ser>
        <c:ser>
          <c:idx val="3"/>
          <c:order val="3"/>
          <c:tx>
            <c:strRef>
              <c:f>FUCIO!$G$25</c:f>
              <c:strCache>
                <c:ptCount val="1"/>
                <c:pt idx="0">
                  <c:v>Minimi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FUCIO!$B$26:$B$39</c:f>
              <c:strCache>
                <c:ptCount val="14"/>
                <c:pt idx="0">
                  <c:v>Hanken</c:v>
                </c:pt>
                <c:pt idx="1">
                  <c:v>MPKK</c:v>
                </c:pt>
                <c:pt idx="2">
                  <c:v>VY</c:v>
                </c:pt>
                <c:pt idx="3">
                  <c:v>LY</c:v>
                </c:pt>
                <c:pt idx="4">
                  <c:v>Uniarts</c:v>
                </c:pt>
                <c:pt idx="5">
                  <c:v>LUT</c:v>
                </c:pt>
                <c:pt idx="6">
                  <c:v>ÅA</c:v>
                </c:pt>
                <c:pt idx="7">
                  <c:v>UEF</c:v>
                </c:pt>
                <c:pt idx="8">
                  <c:v>JY</c:v>
                </c:pt>
                <c:pt idx="9">
                  <c:v>OY</c:v>
                </c:pt>
                <c:pt idx="10">
                  <c:v>UTU</c:v>
                </c:pt>
                <c:pt idx="11">
                  <c:v>Aalto</c:v>
                </c:pt>
                <c:pt idx="12">
                  <c:v>TAU</c:v>
                </c:pt>
                <c:pt idx="13">
                  <c:v>HY</c:v>
                </c:pt>
              </c:strCache>
            </c:strRef>
          </c:cat>
          <c:val>
            <c:numRef>
              <c:f>FUCIO!$G$26:$G$39</c:f>
              <c:numCache>
                <c:formatCode>_-* #\ ##0\ "€"_-;\-* #\ ##0\ "€"_-;_-* "-"??\ "€"_-;_-@_-</c:formatCode>
                <c:ptCount val="14"/>
                <c:pt idx="0">
                  <c:v>2000</c:v>
                </c:pt>
                <c:pt idx="1">
                  <c:v>0</c:v>
                </c:pt>
                <c:pt idx="2">
                  <c:v>2363.7634653123446</c:v>
                </c:pt>
                <c:pt idx="3">
                  <c:v>2501.048588826844</c:v>
                </c:pt>
                <c:pt idx="4">
                  <c:v>2621.320463905804</c:v>
                </c:pt>
                <c:pt idx="5">
                  <c:v>2727.4427066225335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4143.0797348628412</c:v>
                </c:pt>
                <c:pt idx="10">
                  <c:v>4674.8700844766745</c:v>
                </c:pt>
                <c:pt idx="11">
                  <c:v>5324.8267091155631</c:v>
                </c:pt>
                <c:pt idx="12">
                  <c:v>5575.3931155300643</c:v>
                </c:pt>
                <c:pt idx="13">
                  <c:v>8068.2551313473314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32248"/>
        <c:axId val="313832640"/>
      </c:barChart>
      <c:catAx>
        <c:axId val="31383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3832640"/>
        <c:crosses val="autoZero"/>
        <c:auto val="1"/>
        <c:lblAlgn val="ctr"/>
        <c:lblOffset val="100"/>
        <c:noMultiLvlLbl val="0"/>
      </c:catAx>
      <c:valAx>
        <c:axId val="3138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383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45739643369326"/>
          <c:y val="0.92282832446991236"/>
          <c:w val="0.34247787969802745"/>
          <c:h val="5.89009358123428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17</xdr:col>
      <xdr:colOff>180975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17</xdr:col>
      <xdr:colOff>495300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abSelected="1" workbookViewId="0">
      <selection activeCell="B1" sqref="B1"/>
    </sheetView>
  </sheetViews>
  <sheetFormatPr defaultRowHeight="14.4" x14ac:dyDescent="0.3"/>
  <cols>
    <col min="1" max="1" width="3.44140625" customWidth="1"/>
    <col min="2" max="2" width="14.109375" customWidth="1"/>
    <col min="3" max="3" width="10.33203125" customWidth="1"/>
    <col min="4" max="5" width="12.5546875" customWidth="1"/>
    <col min="6" max="8" width="10" customWidth="1"/>
    <col min="9" max="10" width="11.88671875" bestFit="1" customWidth="1"/>
    <col min="14" max="14" width="10.88671875" bestFit="1" customWidth="1"/>
    <col min="16" max="16" width="13.109375" customWidth="1"/>
  </cols>
  <sheetData>
    <row r="1" spans="2:19" ht="15.6" x14ac:dyDescent="0.3">
      <c r="B1" s="33" t="s">
        <v>21</v>
      </c>
    </row>
    <row r="2" spans="2:19" x14ac:dyDescent="0.3">
      <c r="F2" s="3" t="s">
        <v>23</v>
      </c>
      <c r="G2" s="10">
        <v>2000</v>
      </c>
      <c r="M2" s="53" t="str">
        <f>"Summa: "&amp;TEXT(B4,"# ###€")&amp;" min:" &amp;TEXT(G2,"# ###€")</f>
        <v>Summa: 40 000€ min:2 000€</v>
      </c>
    </row>
    <row r="3" spans="2:19" x14ac:dyDescent="0.3">
      <c r="B3" s="8" t="s">
        <v>5</v>
      </c>
      <c r="C3" s="40"/>
      <c r="F3" s="3" t="s">
        <v>27</v>
      </c>
      <c r="G3" s="51">
        <f>COUNTA(B6:B19)</f>
        <v>14</v>
      </c>
      <c r="N3" s="3"/>
    </row>
    <row r="4" spans="2:19" x14ac:dyDescent="0.3">
      <c r="B4" s="10">
        <v>40000</v>
      </c>
      <c r="C4" s="40"/>
      <c r="D4" s="8"/>
      <c r="E4" s="32">
        <v>0.95</v>
      </c>
      <c r="F4" s="32">
        <v>0.5</v>
      </c>
      <c r="G4" s="8" t="s">
        <v>24</v>
      </c>
      <c r="H4" s="9"/>
      <c r="M4" t="s">
        <v>22</v>
      </c>
      <c r="P4" t="s">
        <v>28</v>
      </c>
    </row>
    <row r="5" spans="2:19" x14ac:dyDescent="0.3">
      <c r="B5" s="34"/>
      <c r="C5" s="34"/>
      <c r="D5" s="37" t="str">
        <f>H5</f>
        <v>Staff%</v>
      </c>
      <c r="E5" s="13" t="str">
        <f t="shared" ref="E5:F5" si="0">I5</f>
        <v>Funet^95%</v>
      </c>
      <c r="F5" s="13" t="str">
        <f t="shared" si="0"/>
        <v>Funet^50%</v>
      </c>
      <c r="G5" s="13" t="s">
        <v>25</v>
      </c>
      <c r="H5" s="14" t="s">
        <v>1</v>
      </c>
      <c r="I5" s="11" t="str">
        <f>"Funet^"&amp;TEXT(E4,"##%")</f>
        <v>Funet^95%</v>
      </c>
      <c r="J5" s="11" t="str">
        <f>"Funet^"&amp;TEXT(F4,"##%")</f>
        <v>Funet^50%</v>
      </c>
      <c r="K5" s="11" t="s">
        <v>29</v>
      </c>
      <c r="L5" s="4" t="s">
        <v>0</v>
      </c>
      <c r="M5" s="11" t="str">
        <f>I5</f>
        <v>Funet^95%</v>
      </c>
      <c r="N5" s="11" t="str">
        <f>J5</f>
        <v>Funet^50%</v>
      </c>
      <c r="O5" t="s">
        <v>26</v>
      </c>
      <c r="P5" s="7">
        <f>B4-G2*G3</f>
        <v>12000</v>
      </c>
      <c r="Q5" s="7"/>
    </row>
    <row r="6" spans="2:19" x14ac:dyDescent="0.3">
      <c r="B6" s="35" t="s">
        <v>6</v>
      </c>
      <c r="C6" s="35"/>
      <c r="D6" s="38">
        <f>H6*$B$4</f>
        <v>335.89719909758952</v>
      </c>
      <c r="E6" s="16">
        <f>I6*$B$4</f>
        <v>380.51716831531087</v>
      </c>
      <c r="F6" s="16">
        <f>J6*$B$4</f>
        <v>1146.5878848992625</v>
      </c>
      <c r="G6" s="16">
        <f>O6</f>
        <v>2000</v>
      </c>
      <c r="H6" s="45">
        <f>L6/$L$20</f>
        <v>8.3974299774397382E-3</v>
      </c>
      <c r="I6" s="50">
        <f t="shared" ref="I6:I19" si="1">M6/M$20</f>
        <v>9.5129292078827716E-3</v>
      </c>
      <c r="J6" s="50">
        <f t="shared" ref="J6:J19" si="2">N6/N$20</f>
        <v>2.8664697122481559E-2</v>
      </c>
      <c r="K6" s="50">
        <v>0</v>
      </c>
      <c r="L6" s="5">
        <v>254.6</v>
      </c>
      <c r="M6" s="5">
        <f t="shared" ref="M6:M19" si="3">L6^E$4</f>
        <v>193.00363092621939</v>
      </c>
      <c r="N6" s="5">
        <f t="shared" ref="N6:N19" si="4">M6^F$4</f>
        <v>13.892574668729313</v>
      </c>
      <c r="O6" s="7">
        <f>G2</f>
        <v>2000</v>
      </c>
      <c r="P6" s="7">
        <f>G2</f>
        <v>2000</v>
      </c>
      <c r="R6" s="7"/>
    </row>
    <row r="7" spans="2:19" x14ac:dyDescent="0.3">
      <c r="B7" s="35" t="s">
        <v>7</v>
      </c>
      <c r="C7" s="35"/>
      <c r="D7" s="38">
        <f t="shared" ref="D7:D19" si="5">H7*$B$4</f>
        <v>422.18029737324684</v>
      </c>
      <c r="E7" s="16">
        <f t="shared" ref="E7:E19" si="6">I7*$B$4</f>
        <v>472.82589822860751</v>
      </c>
      <c r="F7" s="16">
        <f t="shared" ref="F7:F19" si="7">J7*$B$4</f>
        <v>1278.1176983120927</v>
      </c>
      <c r="G7" s="16">
        <f t="shared" ref="G7:G19" si="8">O7</f>
        <v>2127.7266649370349</v>
      </c>
      <c r="H7" s="45">
        <f t="shared" ref="H7:H19" si="9">L7/$L$20</f>
        <v>1.0554507434331171E-2</v>
      </c>
      <c r="I7" s="50">
        <f t="shared" si="1"/>
        <v>1.1820647455715188E-2</v>
      </c>
      <c r="J7" s="50">
        <f t="shared" si="2"/>
        <v>3.1952942457802315E-2</v>
      </c>
      <c r="K7" s="50">
        <f t="shared" ref="K7:K19" si="10">H7/SUM($H$7:$H$19)</f>
        <v>1.0643888744752895E-2</v>
      </c>
      <c r="L7" s="5">
        <v>320</v>
      </c>
      <c r="M7" s="5">
        <f t="shared" si="3"/>
        <v>239.82391006981649</v>
      </c>
      <c r="N7" s="5">
        <f t="shared" si="4"/>
        <v>15.486249063921724</v>
      </c>
      <c r="O7" s="49">
        <f>+$G$2+P7</f>
        <v>2127.7266649370349</v>
      </c>
      <c r="P7" s="7">
        <f t="shared" ref="P7:P19" si="11">K7*$P$5</f>
        <v>127.72666493703474</v>
      </c>
      <c r="R7" s="7"/>
      <c r="S7" s="1"/>
    </row>
    <row r="8" spans="2:19" x14ac:dyDescent="0.3">
      <c r="B8" s="35" t="s">
        <v>8</v>
      </c>
      <c r="C8" s="35"/>
      <c r="D8" s="38">
        <f t="shared" si="5"/>
        <v>569.81147011095413</v>
      </c>
      <c r="E8" s="16">
        <f t="shared" si="6"/>
        <v>628.67012202802175</v>
      </c>
      <c r="F8" s="16">
        <f t="shared" si="7"/>
        <v>1473.7765123132201</v>
      </c>
      <c r="G8" s="16">
        <f t="shared" si="8"/>
        <v>2172.3910830822042</v>
      </c>
      <c r="H8" s="45">
        <f t="shared" si="9"/>
        <v>1.4245286752773853E-2</v>
      </c>
      <c r="I8" s="50">
        <f t="shared" si="1"/>
        <v>1.5716753050700544E-2</v>
      </c>
      <c r="J8" s="50">
        <f t="shared" si="2"/>
        <v>3.6844412807830504E-2</v>
      </c>
      <c r="K8" s="50">
        <f t="shared" si="10"/>
        <v>1.4365923590183674E-2</v>
      </c>
      <c r="L8" s="5">
        <v>431.9</v>
      </c>
      <c r="M8" s="5">
        <f t="shared" si="3"/>
        <v>318.87028052751185</v>
      </c>
      <c r="N8" s="5">
        <f t="shared" si="4"/>
        <v>17.856939282181362</v>
      </c>
      <c r="O8" s="49">
        <f t="shared" ref="O8:O19" si="12">+$G$2+P8</f>
        <v>2172.3910830822042</v>
      </c>
      <c r="P8" s="7">
        <f t="shared" si="11"/>
        <v>172.39108308220409</v>
      </c>
      <c r="R8" s="7"/>
    </row>
    <row r="9" spans="2:19" x14ac:dyDescent="0.3">
      <c r="B9" s="35" t="s">
        <v>9</v>
      </c>
      <c r="C9" s="35"/>
      <c r="D9" s="38">
        <f t="shared" si="5"/>
        <v>784.85955908545191</v>
      </c>
      <c r="E9" s="16">
        <f t="shared" si="6"/>
        <v>852.17844966268058</v>
      </c>
      <c r="F9" s="16">
        <f t="shared" si="7"/>
        <v>1715.8743974208589</v>
      </c>
      <c r="G9" s="16">
        <f t="shared" si="8"/>
        <v>2237.4518530345063</v>
      </c>
      <c r="H9" s="45">
        <f t="shared" si="9"/>
        <v>1.9621488977136298E-2</v>
      </c>
      <c r="I9" s="50">
        <f t="shared" si="1"/>
        <v>2.1304461241567013E-2</v>
      </c>
      <c r="J9" s="50">
        <f t="shared" si="2"/>
        <v>4.2896859935521475E-2</v>
      </c>
      <c r="K9" s="50">
        <f t="shared" si="10"/>
        <v>1.9787654419542184E-2</v>
      </c>
      <c r="L9" s="5">
        <v>594.90000000000009</v>
      </c>
      <c r="M9" s="5">
        <f t="shared" si="3"/>
        <v>432.23683102173425</v>
      </c>
      <c r="N9" s="5">
        <f t="shared" si="4"/>
        <v>20.790306179124304</v>
      </c>
      <c r="O9" s="49">
        <f t="shared" si="12"/>
        <v>2237.4518530345063</v>
      </c>
      <c r="P9" s="7">
        <f t="shared" si="11"/>
        <v>237.4518530345062</v>
      </c>
      <c r="R9" s="7"/>
    </row>
    <row r="10" spans="2:19" x14ac:dyDescent="0.3">
      <c r="B10" s="35" t="s">
        <v>10</v>
      </c>
      <c r="C10" s="35"/>
      <c r="D10" s="38">
        <f t="shared" si="5"/>
        <v>973.25751678826327</v>
      </c>
      <c r="E10" s="16">
        <f t="shared" si="6"/>
        <v>1045.4290673243711</v>
      </c>
      <c r="F10" s="16">
        <f t="shared" si="7"/>
        <v>1900.4983902188758</v>
      </c>
      <c r="G10" s="16">
        <f t="shared" si="8"/>
        <v>2294.449877262658</v>
      </c>
      <c r="H10" s="45">
        <f t="shared" si="9"/>
        <v>2.4331437919706583E-2</v>
      </c>
      <c r="I10" s="50">
        <f t="shared" si="1"/>
        <v>2.6135726683109279E-2</v>
      </c>
      <c r="J10" s="50">
        <f t="shared" si="2"/>
        <v>4.7512459755471893E-2</v>
      </c>
      <c r="K10" s="50">
        <f t="shared" si="10"/>
        <v>2.4537489771888164E-2</v>
      </c>
      <c r="L10" s="5">
        <v>737.7</v>
      </c>
      <c r="M10" s="5">
        <f t="shared" si="3"/>
        <v>530.25624773444952</v>
      </c>
      <c r="N10" s="5">
        <f t="shared" si="4"/>
        <v>23.027293539069014</v>
      </c>
      <c r="O10" s="49">
        <f t="shared" si="12"/>
        <v>2294.449877262658</v>
      </c>
      <c r="P10" s="7">
        <f t="shared" si="11"/>
        <v>294.44987726265794</v>
      </c>
      <c r="R10" s="7"/>
    </row>
    <row r="11" spans="2:19" x14ac:dyDescent="0.3">
      <c r="B11" s="35" t="s">
        <v>11</v>
      </c>
      <c r="C11" s="35"/>
      <c r="D11" s="38">
        <f t="shared" si="5"/>
        <v>1139.4910088789793</v>
      </c>
      <c r="E11" s="16">
        <f t="shared" si="6"/>
        <v>1214.3770483063811</v>
      </c>
      <c r="F11" s="16">
        <f t="shared" si="7"/>
        <v>2048.3161807738416</v>
      </c>
      <c r="G11" s="16">
        <f t="shared" si="8"/>
        <v>2344.7422515816152</v>
      </c>
      <c r="H11" s="45">
        <f t="shared" si="9"/>
        <v>2.848727522197448E-2</v>
      </c>
      <c r="I11" s="50">
        <f t="shared" si="1"/>
        <v>3.0359426207659527E-2</v>
      </c>
      <c r="J11" s="50">
        <f t="shared" si="2"/>
        <v>5.1207904519346044E-2</v>
      </c>
      <c r="K11" s="50">
        <f t="shared" si="10"/>
        <v>2.8728520965134615E-2</v>
      </c>
      <c r="L11" s="5">
        <v>863.7</v>
      </c>
      <c r="M11" s="5">
        <f t="shared" si="3"/>
        <v>615.9490271471301</v>
      </c>
      <c r="N11" s="5">
        <f t="shared" si="4"/>
        <v>24.818320393353176</v>
      </c>
      <c r="O11" s="49">
        <f t="shared" si="12"/>
        <v>2344.7422515816152</v>
      </c>
      <c r="P11" s="7">
        <f t="shared" si="11"/>
        <v>344.74225158161539</v>
      </c>
      <c r="R11" s="7"/>
    </row>
    <row r="12" spans="2:19" x14ac:dyDescent="0.3">
      <c r="B12" s="35" t="s">
        <v>12</v>
      </c>
      <c r="C12" s="35"/>
      <c r="D12" s="38">
        <f t="shared" si="5"/>
        <v>1467.4723274008202</v>
      </c>
      <c r="E12" s="16">
        <f t="shared" si="6"/>
        <v>1544.2571371801153</v>
      </c>
      <c r="F12" s="16">
        <f t="shared" si="7"/>
        <v>2309.8300609810171</v>
      </c>
      <c r="G12" s="16">
        <f t="shared" si="8"/>
        <v>2443.9699044045742</v>
      </c>
      <c r="H12" s="45">
        <f t="shared" si="9"/>
        <v>3.6686808185020507E-2</v>
      </c>
      <c r="I12" s="50">
        <f t="shared" si="1"/>
        <v>3.8606428429502883E-2</v>
      </c>
      <c r="J12" s="50">
        <f t="shared" si="2"/>
        <v>5.7745751524525428E-2</v>
      </c>
      <c r="K12" s="50">
        <f t="shared" si="10"/>
        <v>3.6997492033714517E-2</v>
      </c>
      <c r="L12" s="5">
        <v>1112.3</v>
      </c>
      <c r="M12" s="5">
        <f t="shared" si="3"/>
        <v>783.26882300490047</v>
      </c>
      <c r="N12" s="5">
        <f t="shared" si="4"/>
        <v>27.986940222269752</v>
      </c>
      <c r="O12" s="49">
        <f t="shared" si="12"/>
        <v>2443.9699044045742</v>
      </c>
      <c r="P12" s="7">
        <f t="shared" si="11"/>
        <v>443.96990440457421</v>
      </c>
      <c r="R12" s="7"/>
    </row>
    <row r="13" spans="2:19" x14ac:dyDescent="0.3">
      <c r="B13" s="35" t="s">
        <v>13</v>
      </c>
      <c r="C13" s="35"/>
      <c r="D13" s="38">
        <f t="shared" si="5"/>
        <v>3209.3618480942509</v>
      </c>
      <c r="E13" s="16">
        <f t="shared" si="6"/>
        <v>3247.7002903973817</v>
      </c>
      <c r="F13" s="16">
        <f t="shared" si="7"/>
        <v>3349.7175804208355</v>
      </c>
      <c r="G13" s="16">
        <f t="shared" si="8"/>
        <v>2970.9621410182208</v>
      </c>
      <c r="H13" s="45">
        <f t="shared" si="9"/>
        <v>8.0234046202356274E-2</v>
      </c>
      <c r="I13" s="50">
        <f t="shared" si="1"/>
        <v>8.1192507259934543E-2</v>
      </c>
      <c r="J13" s="50">
        <f t="shared" si="2"/>
        <v>8.3742939510520892E-2</v>
      </c>
      <c r="K13" s="50">
        <f t="shared" si="10"/>
        <v>8.091351175151841E-2</v>
      </c>
      <c r="L13" s="5">
        <v>2432.6</v>
      </c>
      <c r="M13" s="5">
        <f t="shared" si="3"/>
        <v>1647.2790202397039</v>
      </c>
      <c r="N13" s="5">
        <f t="shared" si="4"/>
        <v>40.586685258095464</v>
      </c>
      <c r="O13" s="49">
        <f t="shared" si="12"/>
        <v>2970.9621410182208</v>
      </c>
      <c r="P13" s="7">
        <f t="shared" si="11"/>
        <v>970.9621410182209</v>
      </c>
      <c r="R13" s="7"/>
    </row>
    <row r="14" spans="2:19" x14ac:dyDescent="0.3">
      <c r="B14" s="35" t="s">
        <v>14</v>
      </c>
      <c r="C14" s="35"/>
      <c r="D14" s="38">
        <f t="shared" si="5"/>
        <v>3236.4077733947242</v>
      </c>
      <c r="E14" s="16">
        <f t="shared" si="6"/>
        <v>3273.6953890583254</v>
      </c>
      <c r="F14" s="16">
        <f t="shared" si="7"/>
        <v>3363.0966921215477</v>
      </c>
      <c r="G14" s="16">
        <f t="shared" si="8"/>
        <v>2979.1446304907495</v>
      </c>
      <c r="H14" s="45">
        <f t="shared" si="9"/>
        <v>8.091019433486811E-2</v>
      </c>
      <c r="I14" s="50">
        <f t="shared" si="1"/>
        <v>8.1842384726458134E-2</v>
      </c>
      <c r="J14" s="50">
        <f t="shared" si="2"/>
        <v>8.4077417303038693E-2</v>
      </c>
      <c r="K14" s="50">
        <f t="shared" si="10"/>
        <v>8.159538587422914E-2</v>
      </c>
      <c r="L14" s="5">
        <v>2453.1</v>
      </c>
      <c r="M14" s="5">
        <f t="shared" si="3"/>
        <v>1660.4640979329397</v>
      </c>
      <c r="N14" s="5">
        <f t="shared" si="4"/>
        <v>40.748792594786657</v>
      </c>
      <c r="O14" s="49">
        <f t="shared" si="12"/>
        <v>2979.1446304907495</v>
      </c>
      <c r="P14" s="7">
        <f t="shared" si="11"/>
        <v>979.14463049074971</v>
      </c>
      <c r="R14" s="7"/>
    </row>
    <row r="15" spans="2:19" x14ac:dyDescent="0.3">
      <c r="B15" s="35" t="s">
        <v>15</v>
      </c>
      <c r="C15" s="35"/>
      <c r="D15" s="38">
        <f t="shared" si="5"/>
        <v>3356.9930208319583</v>
      </c>
      <c r="E15" s="16">
        <f t="shared" si="6"/>
        <v>3389.4646535675506</v>
      </c>
      <c r="F15" s="16">
        <f t="shared" si="7"/>
        <v>3422.0454643518233</v>
      </c>
      <c r="G15" s="16">
        <f t="shared" si="8"/>
        <v>3015.6265591633901</v>
      </c>
      <c r="H15" s="45">
        <f t="shared" si="9"/>
        <v>8.3924825520798954E-2</v>
      </c>
      <c r="I15" s="50">
        <f t="shared" si="1"/>
        <v>8.4736616339188761E-2</v>
      </c>
      <c r="J15" s="50">
        <f t="shared" si="2"/>
        <v>8.5551136608795583E-2</v>
      </c>
      <c r="K15" s="50">
        <f t="shared" si="10"/>
        <v>8.463554659694919E-2</v>
      </c>
      <c r="L15" s="5">
        <v>2544.5</v>
      </c>
      <c r="M15" s="5">
        <f t="shared" si="3"/>
        <v>1719.1838884193005</v>
      </c>
      <c r="N15" s="5">
        <f t="shared" si="4"/>
        <v>41.463042440458956</v>
      </c>
      <c r="O15" s="49">
        <f t="shared" si="12"/>
        <v>3015.6265591633901</v>
      </c>
      <c r="P15" s="7">
        <f t="shared" si="11"/>
        <v>1015.6265591633903</v>
      </c>
      <c r="R15" s="7"/>
    </row>
    <row r="16" spans="2:19" x14ac:dyDescent="0.3">
      <c r="B16" s="35" t="s">
        <v>16</v>
      </c>
      <c r="C16" s="35"/>
      <c r="D16" s="38">
        <f t="shared" si="5"/>
        <v>4190.0075200865458</v>
      </c>
      <c r="E16" s="16">
        <f t="shared" si="6"/>
        <v>4183.9092419454391</v>
      </c>
      <c r="F16" s="16">
        <f t="shared" si="7"/>
        <v>3801.993307808611</v>
      </c>
      <c r="G16" s="16">
        <f t="shared" si="8"/>
        <v>3267.6472349172773</v>
      </c>
      <c r="H16" s="45">
        <f t="shared" si="9"/>
        <v>0.10475018800216365</v>
      </c>
      <c r="I16" s="50">
        <f t="shared" si="1"/>
        <v>0.10459773104863598</v>
      </c>
      <c r="J16" s="50">
        <f t="shared" si="2"/>
        <v>9.5049832695215275E-2</v>
      </c>
      <c r="K16" s="50">
        <f t="shared" si="10"/>
        <v>0.10563726957643975</v>
      </c>
      <c r="L16" s="5">
        <v>3175.9</v>
      </c>
      <c r="M16" s="5">
        <f t="shared" si="3"/>
        <v>2122.1372973429229</v>
      </c>
      <c r="N16" s="5">
        <f t="shared" si="4"/>
        <v>46.06666145210572</v>
      </c>
      <c r="O16" s="49">
        <f t="shared" si="12"/>
        <v>3267.6472349172773</v>
      </c>
      <c r="P16" s="7">
        <f t="shared" si="11"/>
        <v>1267.647234917277</v>
      </c>
      <c r="R16" s="7"/>
    </row>
    <row r="17" spans="2:18" x14ac:dyDescent="0.3">
      <c r="B17" s="35" t="s">
        <v>17</v>
      </c>
      <c r="C17" s="35"/>
      <c r="D17" s="38">
        <f t="shared" si="5"/>
        <v>5208.1216934707163</v>
      </c>
      <c r="E17" s="16">
        <f t="shared" si="6"/>
        <v>5144.2878320354412</v>
      </c>
      <c r="F17" s="16">
        <f t="shared" si="7"/>
        <v>4215.8276760861381</v>
      </c>
      <c r="G17" s="16">
        <f t="shared" si="8"/>
        <v>3575.6680703294946</v>
      </c>
      <c r="H17" s="45">
        <f t="shared" si="9"/>
        <v>0.13020304233676791</v>
      </c>
      <c r="I17" s="50">
        <f t="shared" si="1"/>
        <v>0.12860719580088603</v>
      </c>
      <c r="J17" s="50">
        <f t="shared" si="2"/>
        <v>0.10539569190215346</v>
      </c>
      <c r="K17" s="50">
        <f t="shared" si="10"/>
        <v>0.1313056725274579</v>
      </c>
      <c r="L17" s="5">
        <v>3947.6</v>
      </c>
      <c r="M17" s="5">
        <f t="shared" si="3"/>
        <v>2609.2547532301701</v>
      </c>
      <c r="N17" s="5">
        <f t="shared" si="4"/>
        <v>51.080864844187694</v>
      </c>
      <c r="O17" s="49">
        <f t="shared" si="12"/>
        <v>3575.6680703294946</v>
      </c>
      <c r="P17" s="7">
        <f t="shared" si="11"/>
        <v>1575.6680703294946</v>
      </c>
      <c r="R17" s="7"/>
    </row>
    <row r="18" spans="2:18" x14ac:dyDescent="0.3">
      <c r="B18" s="35" t="s">
        <v>18</v>
      </c>
      <c r="C18" s="35"/>
      <c r="D18" s="38">
        <f t="shared" si="5"/>
        <v>5600.617438684907</v>
      </c>
      <c r="E18" s="16">
        <f t="shared" si="6"/>
        <v>5511.9123874325951</v>
      </c>
      <c r="F18" s="16">
        <f t="shared" si="7"/>
        <v>4363.8656687865023</v>
      </c>
      <c r="G18" s="16">
        <f t="shared" si="8"/>
        <v>3694.4139541381446</v>
      </c>
      <c r="H18" s="45">
        <f t="shared" si="9"/>
        <v>0.14001543596712268</v>
      </c>
      <c r="I18" s="50">
        <f t="shared" si="1"/>
        <v>0.13779780968581487</v>
      </c>
      <c r="J18" s="50">
        <f t="shared" si="2"/>
        <v>0.10909664171966255</v>
      </c>
      <c r="K18" s="50">
        <f t="shared" si="10"/>
        <v>0.14120116284484538</v>
      </c>
      <c r="L18" s="5">
        <v>4245.1000000000004</v>
      </c>
      <c r="M18" s="5">
        <f t="shared" si="3"/>
        <v>2795.7190705260814</v>
      </c>
      <c r="N18" s="5">
        <f t="shared" si="4"/>
        <v>52.874559766735473</v>
      </c>
      <c r="O18" s="49">
        <f t="shared" si="12"/>
        <v>3694.4139541381446</v>
      </c>
      <c r="P18" s="7">
        <f t="shared" si="11"/>
        <v>1694.4139541381446</v>
      </c>
      <c r="R18" s="7"/>
    </row>
    <row r="19" spans="2:18" ht="15" thickBot="1" x14ac:dyDescent="0.35">
      <c r="B19" s="36" t="s">
        <v>19</v>
      </c>
      <c r="C19" s="36"/>
      <c r="D19" s="39">
        <f t="shared" si="5"/>
        <v>9505.5213267015806</v>
      </c>
      <c r="E19" s="29">
        <f t="shared" si="6"/>
        <v>9110.7753145177812</v>
      </c>
      <c r="F19" s="29">
        <f t="shared" si="7"/>
        <v>5610.4524855053705</v>
      </c>
      <c r="G19" s="29">
        <f t="shared" si="8"/>
        <v>4875.8057756401304</v>
      </c>
      <c r="H19" s="46">
        <f t="shared" si="9"/>
        <v>0.23763803316753954</v>
      </c>
      <c r="I19" s="52">
        <f t="shared" si="1"/>
        <v>0.22776938286294451</v>
      </c>
      <c r="J19" s="52">
        <f t="shared" si="2"/>
        <v>0.14026131213763426</v>
      </c>
      <c r="K19" s="52">
        <f t="shared" si="10"/>
        <v>0.23965048130334415</v>
      </c>
      <c r="L19" s="5">
        <v>7204.9</v>
      </c>
      <c r="M19" s="5">
        <f t="shared" si="3"/>
        <v>4621.1126926021198</v>
      </c>
      <c r="N19" s="5">
        <f t="shared" si="4"/>
        <v>67.978766483381563</v>
      </c>
      <c r="O19" s="49">
        <f t="shared" si="12"/>
        <v>4875.8057756401304</v>
      </c>
      <c r="P19" s="7">
        <f t="shared" si="11"/>
        <v>2875.8057756401299</v>
      </c>
      <c r="R19" s="7"/>
    </row>
    <row r="20" spans="2:18" ht="15" thickTop="1" x14ac:dyDescent="0.3">
      <c r="C20" s="40"/>
      <c r="D20" s="7">
        <f>SUM(D6:D19)</f>
        <v>39999.999999999985</v>
      </c>
      <c r="E20" s="7">
        <f t="shared" ref="E20:G20" si="13">SUM(E6:E19)</f>
        <v>40000</v>
      </c>
      <c r="F20" s="7">
        <f t="shared" si="13"/>
        <v>39999.999999999993</v>
      </c>
      <c r="G20" s="7">
        <f t="shared" si="13"/>
        <v>40000</v>
      </c>
      <c r="H20" s="47">
        <f>SUM(H6:H19)</f>
        <v>0.99999999999999967</v>
      </c>
      <c r="I20" s="47">
        <f>SUM(I6:I19)</f>
        <v>1</v>
      </c>
      <c r="J20" s="47">
        <f>SUM(J6:J19)</f>
        <v>0.99999999999999989</v>
      </c>
      <c r="K20" s="47">
        <f>SUM(K6:K19)</f>
        <v>1</v>
      </c>
      <c r="L20" s="6">
        <v>30318.800000000007</v>
      </c>
      <c r="M20" s="6">
        <f>SUM(M6:M19)</f>
        <v>20288.559570725</v>
      </c>
      <c r="N20" s="6">
        <f>SUM(N6:N19)</f>
        <v>484.6579961884002</v>
      </c>
      <c r="O20" s="7">
        <f>SUM(O6:O19)</f>
        <v>40000</v>
      </c>
      <c r="P20" s="7">
        <f>SUM(P6:P19)</f>
        <v>14000</v>
      </c>
      <c r="Q20" s="1"/>
      <c r="R20" s="7"/>
    </row>
    <row r="23" spans="2:18" x14ac:dyDescent="0.3">
      <c r="B23" s="8" t="s">
        <v>20</v>
      </c>
      <c r="M23" t="s">
        <v>23</v>
      </c>
      <c r="N23" s="7">
        <f>G2</f>
        <v>2000</v>
      </c>
    </row>
    <row r="24" spans="2:18" x14ac:dyDescent="0.3">
      <c r="B24" s="19">
        <f>B4</f>
        <v>40000</v>
      </c>
      <c r="H24" s="1">
        <f>SUMPRODUCT($C$26:$C$39,H26:H39)</f>
        <v>0.79161444384342372</v>
      </c>
      <c r="I24" s="1">
        <f>SUMPRODUCT($C$26:$C$39,I26:I39)</f>
        <v>0.78653803212838924</v>
      </c>
      <c r="J24" s="1">
        <f>SUMPRODUCT($C$26:$C$39,J26:J39)</f>
        <v>0.74248094920411256</v>
      </c>
      <c r="K24" s="1">
        <f>SUMPRODUCT($C$26:$C$39,K26:K39)</f>
        <v>0.78984972159578493</v>
      </c>
      <c r="M24" t="s">
        <v>28</v>
      </c>
      <c r="N24" s="7">
        <f>B24-C40*N23</f>
        <v>20000</v>
      </c>
    </row>
    <row r="25" spans="2:18" x14ac:dyDescent="0.3">
      <c r="B25" s="17" t="str">
        <f>"case: "&amp;C25</f>
        <v>case: Oracle</v>
      </c>
      <c r="C25" s="12" t="s">
        <v>4</v>
      </c>
      <c r="D25" s="30" t="s">
        <v>1</v>
      </c>
      <c r="E25" s="30" t="s">
        <v>2</v>
      </c>
      <c r="F25" s="31" t="s">
        <v>3</v>
      </c>
      <c r="G25" s="41" t="str">
        <f>G5</f>
        <v>Minimi</v>
      </c>
      <c r="H25" s="2" t="s">
        <v>1</v>
      </c>
      <c r="I25" s="2" t="s">
        <v>2</v>
      </c>
      <c r="J25" s="2" t="s">
        <v>3</v>
      </c>
      <c r="K25" s="48" t="s">
        <v>30</v>
      </c>
      <c r="L25" s="41" t="s">
        <v>26</v>
      </c>
      <c r="N25" t="s">
        <v>30</v>
      </c>
      <c r="O25" t="s">
        <v>31</v>
      </c>
    </row>
    <row r="26" spans="2:18" x14ac:dyDescent="0.3">
      <c r="B26" s="15" t="s">
        <v>6</v>
      </c>
      <c r="C26" s="18">
        <v>1</v>
      </c>
      <c r="D26" s="19">
        <f t="shared" ref="D26:D39" si="14">$B$24*$C26*(1/H$24)*H26</f>
        <v>424.31918936035464</v>
      </c>
      <c r="E26" s="19">
        <f t="shared" ref="E26:E39" si="15">$B$24*$C26*(1/I$24)*I26</f>
        <v>483.78737298388864</v>
      </c>
      <c r="F26" s="20">
        <f t="shared" ref="F26:F39" si="16">$B$24*$C26*(1/J$24)*J26</f>
        <v>1544.2657298188244</v>
      </c>
      <c r="G26" s="20">
        <f>IF(C26=1,$G$2,M26)</f>
        <v>2000</v>
      </c>
      <c r="H26" s="54">
        <f t="shared" ref="H26:J39" si="17">H6</f>
        <v>8.3974299774397382E-3</v>
      </c>
      <c r="I26" s="54">
        <f t="shared" si="17"/>
        <v>9.5129292078827716E-3</v>
      </c>
      <c r="J26" s="54">
        <f t="shared" si="17"/>
        <v>2.8664697122481559E-2</v>
      </c>
      <c r="K26" s="44">
        <f>IF(AND(C26=1,O26=1),0,IF(C26=1,K6,0))</f>
        <v>0</v>
      </c>
      <c r="L26" s="20">
        <f>IF(C26=1,$G$2,0)</f>
        <v>2000</v>
      </c>
      <c r="M26" s="42">
        <f t="shared" ref="M26:M39" si="18">IF(AND(C26=1,O26=1),$N$23,$N$24*N26)</f>
        <v>2000</v>
      </c>
      <c r="N26" s="43">
        <f>IF(O26=1,0,IF(C26=1,K26/$K$40,0))</f>
        <v>0</v>
      </c>
      <c r="O26">
        <f>COUNTIFS(C26,1)</f>
        <v>1</v>
      </c>
    </row>
    <row r="27" spans="2:18" x14ac:dyDescent="0.3">
      <c r="B27" s="15" t="s">
        <v>7</v>
      </c>
      <c r="C27" s="18"/>
      <c r="D27" s="19">
        <f t="shared" si="14"/>
        <v>0</v>
      </c>
      <c r="E27" s="19">
        <f t="shared" si="15"/>
        <v>0</v>
      </c>
      <c r="F27" s="20">
        <f t="shared" si="16"/>
        <v>0</v>
      </c>
      <c r="G27" s="20">
        <f>IF(C27=1,L27,0)</f>
        <v>0</v>
      </c>
      <c r="H27" s="54">
        <f t="shared" si="17"/>
        <v>1.0554507434331171E-2</v>
      </c>
      <c r="I27" s="54">
        <f t="shared" si="17"/>
        <v>1.1820647455715188E-2</v>
      </c>
      <c r="J27" s="54">
        <f t="shared" si="17"/>
        <v>3.1952942457802315E-2</v>
      </c>
      <c r="K27" s="44">
        <f t="shared" ref="K27:K39" si="19">IF(AND(C27=1,O27=1),0,IF(C27=1,K7,0))</f>
        <v>0</v>
      </c>
      <c r="L27" s="20">
        <f>IF(AND(C27=1,O27=1),$G$2,IF(C27=1,$G$2+M27,0))</f>
        <v>0</v>
      </c>
      <c r="M27" s="42">
        <f t="shared" si="18"/>
        <v>0</v>
      </c>
      <c r="N27" s="43">
        <f t="shared" ref="N27:N39" si="20">IF(O27=1,0,IF(C27=1,K27/$K$40,0))</f>
        <v>0</v>
      </c>
      <c r="O27">
        <f>COUNTIFS($C$26:C27,1)</f>
        <v>1</v>
      </c>
    </row>
    <row r="28" spans="2:18" x14ac:dyDescent="0.3">
      <c r="B28" s="15" t="s">
        <v>8</v>
      </c>
      <c r="C28" s="18">
        <v>1</v>
      </c>
      <c r="D28" s="19">
        <f t="shared" si="14"/>
        <v>719.80933968867703</v>
      </c>
      <c r="E28" s="19">
        <f t="shared" si="15"/>
        <v>799.28763308091607</v>
      </c>
      <c r="F28" s="20">
        <f t="shared" si="16"/>
        <v>1984.9351204135339</v>
      </c>
      <c r="G28" s="20">
        <f t="shared" ref="G28:G39" si="21">IF(C28=1,L28,0)</f>
        <v>2363.7634653123446</v>
      </c>
      <c r="H28" s="54">
        <f t="shared" si="17"/>
        <v>1.4245286752773853E-2</v>
      </c>
      <c r="I28" s="54">
        <f t="shared" si="17"/>
        <v>1.5716753050700544E-2</v>
      </c>
      <c r="J28" s="54">
        <f t="shared" si="17"/>
        <v>3.6844412807830504E-2</v>
      </c>
      <c r="K28" s="44">
        <f t="shared" si="19"/>
        <v>1.4365923590183674E-2</v>
      </c>
      <c r="L28" s="20">
        <f t="shared" ref="L28:L39" si="22">IF(AND(C28=1,O28=1),$G$2,IF(C28=1,$G$2+M28,0))</f>
        <v>2363.7634653123446</v>
      </c>
      <c r="M28" s="42">
        <f t="shared" si="18"/>
        <v>363.76346531234475</v>
      </c>
      <c r="N28" s="43">
        <f t="shared" si="20"/>
        <v>1.8188173265617238E-2</v>
      </c>
      <c r="O28">
        <f>COUNTIFS($C$26:C28,1)</f>
        <v>2</v>
      </c>
    </row>
    <row r="29" spans="2:18" x14ac:dyDescent="0.3">
      <c r="B29" s="15" t="s">
        <v>9</v>
      </c>
      <c r="C29" s="18">
        <v>1</v>
      </c>
      <c r="D29" s="19">
        <f t="shared" si="14"/>
        <v>991.46695110163012</v>
      </c>
      <c r="E29" s="19">
        <f t="shared" si="15"/>
        <v>1083.4548551411644</v>
      </c>
      <c r="F29" s="20">
        <f t="shared" si="16"/>
        <v>2311.0012442206844</v>
      </c>
      <c r="G29" s="20">
        <f t="shared" si="21"/>
        <v>2501.048588826844</v>
      </c>
      <c r="H29" s="54">
        <f t="shared" si="17"/>
        <v>1.9621488977136298E-2</v>
      </c>
      <c r="I29" s="54">
        <f t="shared" si="17"/>
        <v>2.1304461241567013E-2</v>
      </c>
      <c r="J29" s="54">
        <f t="shared" si="17"/>
        <v>4.2896859935521475E-2</v>
      </c>
      <c r="K29" s="44">
        <f t="shared" si="19"/>
        <v>1.9787654419542184E-2</v>
      </c>
      <c r="L29" s="20">
        <f t="shared" si="22"/>
        <v>2501.048588826844</v>
      </c>
      <c r="M29" s="42">
        <f t="shared" si="18"/>
        <v>501.04858882684408</v>
      </c>
      <c r="N29" s="43">
        <f t="shared" si="20"/>
        <v>2.5052429441342203E-2</v>
      </c>
      <c r="O29">
        <f>COUNTIFS($C$26:C29,1)</f>
        <v>3</v>
      </c>
    </row>
    <row r="30" spans="2:18" x14ac:dyDescent="0.3">
      <c r="B30" s="15" t="s">
        <v>10</v>
      </c>
      <c r="C30" s="18">
        <v>1</v>
      </c>
      <c r="D30" s="19">
        <f t="shared" si="14"/>
        <v>1229.4590180327325</v>
      </c>
      <c r="E30" s="19">
        <f t="shared" si="15"/>
        <v>1329.1525960866979</v>
      </c>
      <c r="F30" s="20">
        <f t="shared" si="16"/>
        <v>2559.6594663554351</v>
      </c>
      <c r="G30" s="20">
        <f t="shared" si="21"/>
        <v>2621.320463905804</v>
      </c>
      <c r="H30" s="54">
        <f t="shared" si="17"/>
        <v>2.4331437919706583E-2</v>
      </c>
      <c r="I30" s="54">
        <f t="shared" si="17"/>
        <v>2.6135726683109279E-2</v>
      </c>
      <c r="J30" s="54">
        <f t="shared" si="17"/>
        <v>4.7512459755471893E-2</v>
      </c>
      <c r="K30" s="44">
        <f t="shared" si="19"/>
        <v>2.4537489771888164E-2</v>
      </c>
      <c r="L30" s="20">
        <f t="shared" si="22"/>
        <v>2621.320463905804</v>
      </c>
      <c r="M30" s="42">
        <f t="shared" si="18"/>
        <v>621.32046390580399</v>
      </c>
      <c r="N30" s="43">
        <f t="shared" si="20"/>
        <v>3.1066023195290202E-2</v>
      </c>
      <c r="O30">
        <f>COUNTIFS($C$26:C30,1)</f>
        <v>4</v>
      </c>
    </row>
    <row r="31" spans="2:18" x14ac:dyDescent="0.3">
      <c r="B31" s="15" t="s">
        <v>11</v>
      </c>
      <c r="C31" s="18">
        <v>1</v>
      </c>
      <c r="D31" s="19">
        <f t="shared" si="14"/>
        <v>1439.4520182660578</v>
      </c>
      <c r="E31" s="19">
        <f t="shared" si="15"/>
        <v>1543.9521023799066</v>
      </c>
      <c r="F31" s="20">
        <f t="shared" si="16"/>
        <v>2758.7457738403832</v>
      </c>
      <c r="G31" s="20">
        <f t="shared" si="21"/>
        <v>2727.4427066225335</v>
      </c>
      <c r="H31" s="54">
        <f t="shared" si="17"/>
        <v>2.848727522197448E-2</v>
      </c>
      <c r="I31" s="54">
        <f t="shared" si="17"/>
        <v>3.0359426207659527E-2</v>
      </c>
      <c r="J31" s="54">
        <f t="shared" si="17"/>
        <v>5.1207904519346044E-2</v>
      </c>
      <c r="K31" s="44">
        <f t="shared" si="19"/>
        <v>2.8728520965134615E-2</v>
      </c>
      <c r="L31" s="20">
        <f t="shared" si="22"/>
        <v>2727.4427066225335</v>
      </c>
      <c r="M31" s="42">
        <f t="shared" si="18"/>
        <v>727.44270662253348</v>
      </c>
      <c r="N31" s="43">
        <f t="shared" si="20"/>
        <v>3.6372135331126675E-2</v>
      </c>
      <c r="O31">
        <f>COUNTIFS($C$26:C31,1)</f>
        <v>5</v>
      </c>
    </row>
    <row r="32" spans="2:18" x14ac:dyDescent="0.3">
      <c r="B32" s="15" t="s">
        <v>12</v>
      </c>
      <c r="C32" s="18"/>
      <c r="D32" s="19">
        <f t="shared" si="14"/>
        <v>0</v>
      </c>
      <c r="E32" s="19">
        <f t="shared" si="15"/>
        <v>0</v>
      </c>
      <c r="F32" s="20">
        <f t="shared" si="16"/>
        <v>0</v>
      </c>
      <c r="G32" s="20">
        <f t="shared" si="21"/>
        <v>0</v>
      </c>
      <c r="H32" s="54">
        <f t="shared" si="17"/>
        <v>3.6686808185020507E-2</v>
      </c>
      <c r="I32" s="54">
        <f t="shared" si="17"/>
        <v>3.8606428429502883E-2</v>
      </c>
      <c r="J32" s="54">
        <f t="shared" si="17"/>
        <v>5.7745751524525428E-2</v>
      </c>
      <c r="K32" s="44">
        <f t="shared" si="19"/>
        <v>0</v>
      </c>
      <c r="L32" s="20">
        <f t="shared" si="22"/>
        <v>0</v>
      </c>
      <c r="M32" s="42">
        <f t="shared" si="18"/>
        <v>0</v>
      </c>
      <c r="N32" s="43">
        <f t="shared" si="20"/>
        <v>0</v>
      </c>
      <c r="O32">
        <f>COUNTIFS($C$26:C32,1)</f>
        <v>5</v>
      </c>
    </row>
    <row r="33" spans="2:15" x14ac:dyDescent="0.3">
      <c r="B33" s="15" t="s">
        <v>13</v>
      </c>
      <c r="C33" s="18"/>
      <c r="D33" s="19">
        <f t="shared" si="14"/>
        <v>0</v>
      </c>
      <c r="E33" s="19">
        <f t="shared" si="15"/>
        <v>0</v>
      </c>
      <c r="F33" s="20">
        <f t="shared" si="16"/>
        <v>0</v>
      </c>
      <c r="G33" s="20">
        <f t="shared" si="21"/>
        <v>0</v>
      </c>
      <c r="H33" s="54">
        <f t="shared" si="17"/>
        <v>8.0234046202356274E-2</v>
      </c>
      <c r="I33" s="54">
        <f t="shared" si="17"/>
        <v>8.1192507259934543E-2</v>
      </c>
      <c r="J33" s="54">
        <f t="shared" si="17"/>
        <v>8.3742939510520892E-2</v>
      </c>
      <c r="K33" s="44">
        <f t="shared" si="19"/>
        <v>0</v>
      </c>
      <c r="L33" s="20">
        <f t="shared" si="22"/>
        <v>0</v>
      </c>
      <c r="M33" s="42">
        <f t="shared" si="18"/>
        <v>0</v>
      </c>
      <c r="N33" s="43">
        <f t="shared" si="20"/>
        <v>0</v>
      </c>
      <c r="O33">
        <f>COUNTIFS($C$26:C33,1)</f>
        <v>5</v>
      </c>
    </row>
    <row r="34" spans="2:15" x14ac:dyDescent="0.3">
      <c r="B34" s="15" t="s">
        <v>14</v>
      </c>
      <c r="C34" s="18"/>
      <c r="D34" s="19">
        <f t="shared" si="14"/>
        <v>0</v>
      </c>
      <c r="E34" s="19">
        <f t="shared" si="15"/>
        <v>0</v>
      </c>
      <c r="F34" s="20">
        <f t="shared" si="16"/>
        <v>0</v>
      </c>
      <c r="G34" s="20">
        <f t="shared" si="21"/>
        <v>0</v>
      </c>
      <c r="H34" s="54">
        <f t="shared" si="17"/>
        <v>8.091019433486811E-2</v>
      </c>
      <c r="I34" s="54">
        <f t="shared" si="17"/>
        <v>8.1842384726458134E-2</v>
      </c>
      <c r="J34" s="54">
        <f t="shared" si="17"/>
        <v>8.4077417303038693E-2</v>
      </c>
      <c r="K34" s="44">
        <f t="shared" si="19"/>
        <v>0</v>
      </c>
      <c r="L34" s="20">
        <f t="shared" si="22"/>
        <v>0</v>
      </c>
      <c r="M34" s="42">
        <f t="shared" si="18"/>
        <v>0</v>
      </c>
      <c r="N34" s="43">
        <f t="shared" si="20"/>
        <v>0</v>
      </c>
      <c r="O34">
        <f>COUNTIFS($C$26:C34,1)</f>
        <v>5</v>
      </c>
    </row>
    <row r="35" spans="2:15" x14ac:dyDescent="0.3">
      <c r="B35" s="15" t="s">
        <v>15</v>
      </c>
      <c r="C35" s="18">
        <v>1</v>
      </c>
      <c r="D35" s="19">
        <f t="shared" si="14"/>
        <v>4240.6919769341021</v>
      </c>
      <c r="E35" s="19">
        <f t="shared" si="15"/>
        <v>4309.3461665109626</v>
      </c>
      <c r="F35" s="20">
        <f t="shared" si="16"/>
        <v>4608.9336945547429</v>
      </c>
      <c r="G35" s="20">
        <f t="shared" si="21"/>
        <v>4143.0797348628412</v>
      </c>
      <c r="H35" s="54">
        <f t="shared" si="17"/>
        <v>8.3924825520798954E-2</v>
      </c>
      <c r="I35" s="54">
        <f t="shared" si="17"/>
        <v>8.4736616339188761E-2</v>
      </c>
      <c r="J35" s="54">
        <f t="shared" si="17"/>
        <v>8.5551136608795583E-2</v>
      </c>
      <c r="K35" s="44">
        <f t="shared" si="19"/>
        <v>8.463554659694919E-2</v>
      </c>
      <c r="L35" s="20">
        <f t="shared" si="22"/>
        <v>4143.0797348628412</v>
      </c>
      <c r="M35" s="42">
        <f t="shared" si="18"/>
        <v>2143.0797348628412</v>
      </c>
      <c r="N35" s="43">
        <f t="shared" si="20"/>
        <v>0.10715398674314207</v>
      </c>
      <c r="O35">
        <f>COUNTIFS($C$26:C35,1)</f>
        <v>6</v>
      </c>
    </row>
    <row r="36" spans="2:15" x14ac:dyDescent="0.3">
      <c r="B36" s="15" t="s">
        <v>16</v>
      </c>
      <c r="C36" s="18">
        <v>1</v>
      </c>
      <c r="D36" s="19">
        <f t="shared" si="14"/>
        <v>5292.9902336588784</v>
      </c>
      <c r="E36" s="19">
        <f t="shared" si="15"/>
        <v>5319.3985173529227</v>
      </c>
      <c r="F36" s="20">
        <f t="shared" si="16"/>
        <v>5120.6610915526935</v>
      </c>
      <c r="G36" s="20">
        <f t="shared" si="21"/>
        <v>4674.8700844766745</v>
      </c>
      <c r="H36" s="54">
        <f t="shared" si="17"/>
        <v>0.10475018800216365</v>
      </c>
      <c r="I36" s="54">
        <f t="shared" si="17"/>
        <v>0.10459773104863598</v>
      </c>
      <c r="J36" s="54">
        <f t="shared" si="17"/>
        <v>9.5049832695215275E-2</v>
      </c>
      <c r="K36" s="44">
        <f t="shared" si="19"/>
        <v>0.10563726957643975</v>
      </c>
      <c r="L36" s="20">
        <f t="shared" si="22"/>
        <v>4674.8700844766745</v>
      </c>
      <c r="M36" s="42">
        <f t="shared" si="18"/>
        <v>2674.8700844766745</v>
      </c>
      <c r="N36" s="43">
        <f t="shared" si="20"/>
        <v>0.13374350422383371</v>
      </c>
      <c r="O36">
        <f>COUNTIFS($C$26:C36,1)</f>
        <v>7</v>
      </c>
    </row>
    <row r="37" spans="2:15" x14ac:dyDescent="0.3">
      <c r="B37" s="15" t="s">
        <v>17</v>
      </c>
      <c r="C37" s="18">
        <v>1</v>
      </c>
      <c r="D37" s="19">
        <f t="shared" si="14"/>
        <v>6579.1140295323485</v>
      </c>
      <c r="E37" s="19">
        <f t="shared" si="15"/>
        <v>6540.4184183120615</v>
      </c>
      <c r="F37" s="20">
        <f t="shared" si="16"/>
        <v>5678.0280768216471</v>
      </c>
      <c r="G37" s="20">
        <f t="shared" si="21"/>
        <v>5324.8267091155631</v>
      </c>
      <c r="H37" s="54">
        <f t="shared" si="17"/>
        <v>0.13020304233676791</v>
      </c>
      <c r="I37" s="54">
        <f t="shared" si="17"/>
        <v>0.12860719580088603</v>
      </c>
      <c r="J37" s="54">
        <f t="shared" si="17"/>
        <v>0.10539569190215346</v>
      </c>
      <c r="K37" s="44">
        <f t="shared" si="19"/>
        <v>0.1313056725274579</v>
      </c>
      <c r="L37" s="20">
        <f t="shared" si="22"/>
        <v>5324.8267091155631</v>
      </c>
      <c r="M37" s="42">
        <f t="shared" si="18"/>
        <v>3324.8267091155635</v>
      </c>
      <c r="N37" s="43">
        <f t="shared" si="20"/>
        <v>0.16624133545577818</v>
      </c>
      <c r="O37">
        <f>COUNTIFS($C$26:C37,1)</f>
        <v>8</v>
      </c>
    </row>
    <row r="38" spans="2:15" x14ac:dyDescent="0.3">
      <c r="B38" s="15" t="s">
        <v>18</v>
      </c>
      <c r="C38" s="18">
        <v>1</v>
      </c>
      <c r="D38" s="19">
        <f t="shared" si="14"/>
        <v>7074.9308356388119</v>
      </c>
      <c r="E38" s="19">
        <f t="shared" si="15"/>
        <v>7007.8141962407572</v>
      </c>
      <c r="F38" s="20">
        <f t="shared" si="16"/>
        <v>5877.410960462028</v>
      </c>
      <c r="G38" s="20">
        <f t="shared" si="21"/>
        <v>5575.3931155300643</v>
      </c>
      <c r="H38" s="54">
        <f t="shared" si="17"/>
        <v>0.14001543596712268</v>
      </c>
      <c r="I38" s="54">
        <f t="shared" si="17"/>
        <v>0.13779780968581487</v>
      </c>
      <c r="J38" s="54">
        <f t="shared" si="17"/>
        <v>0.10909664171966255</v>
      </c>
      <c r="K38" s="44">
        <f t="shared" si="19"/>
        <v>0.14120116284484538</v>
      </c>
      <c r="L38" s="20">
        <f t="shared" si="22"/>
        <v>5575.3931155300643</v>
      </c>
      <c r="M38" s="42">
        <f t="shared" si="18"/>
        <v>3575.3931155300643</v>
      </c>
      <c r="N38" s="43">
        <f t="shared" si="20"/>
        <v>0.17876965577650322</v>
      </c>
      <c r="O38">
        <f>COUNTIFS($C$26:C38,1)</f>
        <v>9</v>
      </c>
    </row>
    <row r="39" spans="2:15" ht="15" thickBot="1" x14ac:dyDescent="0.35">
      <c r="B39" s="28" t="s">
        <v>19</v>
      </c>
      <c r="C39" s="25">
        <v>1</v>
      </c>
      <c r="D39" s="26">
        <f t="shared" si="14"/>
        <v>12007.766407786406</v>
      </c>
      <c r="E39" s="26">
        <f t="shared" si="15"/>
        <v>11583.388141910724</v>
      </c>
      <c r="F39" s="27">
        <f t="shared" si="16"/>
        <v>7556.3588419600283</v>
      </c>
      <c r="G39" s="27">
        <f t="shared" si="21"/>
        <v>8068.2551313473314</v>
      </c>
      <c r="H39" s="55">
        <f t="shared" si="17"/>
        <v>0.23763803316753954</v>
      </c>
      <c r="I39" s="55">
        <f t="shared" si="17"/>
        <v>0.22776938286294451</v>
      </c>
      <c r="J39" s="55">
        <f t="shared" si="17"/>
        <v>0.14026131213763426</v>
      </c>
      <c r="K39" s="56">
        <f t="shared" si="19"/>
        <v>0.23965048130334415</v>
      </c>
      <c r="L39" s="27">
        <f t="shared" si="22"/>
        <v>8068.2551313473314</v>
      </c>
      <c r="M39" s="42">
        <f t="shared" si="18"/>
        <v>6068.2551313473314</v>
      </c>
      <c r="N39" s="43">
        <f t="shared" si="20"/>
        <v>0.30341275656736655</v>
      </c>
      <c r="O39">
        <f>COUNTIFS($C$26:C39,1)</f>
        <v>10</v>
      </c>
    </row>
    <row r="40" spans="2:15" ht="15" thickTop="1" x14ac:dyDescent="0.3">
      <c r="B40" s="21"/>
      <c r="C40" s="22">
        <f>SUM(C26:C39)</f>
        <v>10</v>
      </c>
      <c r="D40" s="23">
        <f>SUM(D26:D39)</f>
        <v>40000</v>
      </c>
      <c r="E40" s="23">
        <f t="shared" ref="E40:F40" si="23">SUM(E26:E39)</f>
        <v>40000</v>
      </c>
      <c r="F40" s="24">
        <f t="shared" si="23"/>
        <v>40000</v>
      </c>
      <c r="G40" s="24">
        <f t="shared" ref="G40" si="24">SUM(G26:G39)</f>
        <v>40000</v>
      </c>
      <c r="H40" s="44">
        <f t="shared" ref="H40:N40" si="25">SUM(H26:H39)</f>
        <v>0.99999999999999967</v>
      </c>
      <c r="I40" s="44">
        <f t="shared" si="25"/>
        <v>1</v>
      </c>
      <c r="J40" s="44">
        <f t="shared" si="25"/>
        <v>0.99999999999999989</v>
      </c>
      <c r="K40" s="44">
        <f t="shared" si="25"/>
        <v>0.78984972159578493</v>
      </c>
      <c r="L40" s="24">
        <f t="shared" si="25"/>
        <v>40000</v>
      </c>
      <c r="M40" s="42">
        <f t="shared" si="25"/>
        <v>22000</v>
      </c>
      <c r="N40" s="44">
        <f t="shared" si="25"/>
        <v>1</v>
      </c>
    </row>
  </sheetData>
  <sortState ref="B3:L16">
    <sortCondition ref="I3:I16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FUCIO</vt:lpstr>
    </vt:vector>
  </TitlesOfParts>
  <Company>Turun yliopisto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Teemu Seesto</dc:creator>
  <cp:lastModifiedBy>Outi Tasala</cp:lastModifiedBy>
  <dcterms:created xsi:type="dcterms:W3CDTF">2019-01-31T06:37:59Z</dcterms:created>
  <dcterms:modified xsi:type="dcterms:W3CDTF">2019-02-05T10:36:43Z</dcterms:modified>
</cp:coreProperties>
</file>